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Закупаемое оборудование" sheetId="1" r:id="rId1"/>
    <sheet name="Сводная таблица стоимости работ" sheetId="2" r:id="rId2"/>
    <sheet name="Календарный план и график оплат" sheetId="3" r:id="rId3"/>
    <sheet name="План распределения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<sst xmlns="http://schemas.openxmlformats.org/spreadsheetml/2006/main" count="186" uniqueCount="131">
  <si>
    <t>Офисный компьютер НИКС C5000-ITX</t>
  </si>
  <si>
    <t>Кол-во</t>
  </si>
  <si>
    <t>Цена, руб./шт.</t>
  </si>
  <si>
    <t>Кол-во, шт.</t>
  </si>
  <si>
    <t>Спецификация</t>
  </si>
  <si>
    <t>Наименование</t>
  </si>
  <si>
    <t>№ п/п</t>
  </si>
  <si>
    <t>Сервер НИКС Сервер aS5000</t>
  </si>
  <si>
    <t>aS5000 (S5354PAi): Xeon E3-1241V3 / 195 7546 Гб / 2 x 2 Тб SATA RAID</t>
  </si>
  <si>
    <t>Стоимость, руб.</t>
  </si>
  <si>
    <t>ЖК монитор LG 27MB67PY-B</t>
  </si>
  <si>
    <t>27" ЖК монитор LG 27MB67PY-B с поворотом экрана (LCD, Wide, 1920x1080, D-Sub, DVI, DP, USB2.0 Hub)</t>
  </si>
  <si>
    <t>Клавиатура Microsoft WirMicrosoft Wired Keyboard Desktop 600 USB (Кл-ра, М / Мед+Мышь 3кн, Roll) &lt; APB-00011 &gt; влагозащитаed Desktop 600</t>
  </si>
  <si>
    <t>Microsoft Wired Keyboard Desktop 600 USB (Кл-ра, М / Мед+Мышь 3кн, Roll) &lt; APB-00011 &gt; влагозащита</t>
  </si>
  <si>
    <t>МФУ Canon PIXMA MG5740</t>
  </si>
  <si>
    <t>Canon PIXMA MG5740 (A4, 12.6 стр / мин, струйное МФУ, LCD, USB2.0, WiFi, двусторонняя печать)</t>
  </si>
  <si>
    <t>160W</t>
  </si>
  <si>
    <t>32W</t>
  </si>
  <si>
    <t>12W</t>
  </si>
  <si>
    <t>300W</t>
  </si>
  <si>
    <t>450W</t>
  </si>
  <si>
    <t>0W</t>
  </si>
  <si>
    <t>ИБП PowerCom Imperial IMD-3000AP</t>
  </si>
  <si>
    <t>UPS 3000VA PowerCom Imperial &lt; IMD-3000AP &gt; +USB+защита +USB+защита телефонной линии / RJ45</t>
  </si>
  <si>
    <t>ИБП APC Smart-UPS C 3000VA LCD 230V SMC3000I</t>
  </si>
  <si>
    <t>UPS 3000VA Smart C APC &lt; SMC3000I &gt; USB, LCD</t>
  </si>
  <si>
    <t>Кабель в бухтах AOpen ANC6141 UTP 6 100 метров</t>
  </si>
  <si>
    <t>Кабель UTP 4 пары кат.6 &lt; бухта 100м &gt; AOpen &lt; ANC6141 &gt;</t>
  </si>
  <si>
    <t>Коннектор 5bites US010</t>
  </si>
  <si>
    <t>5bites &lt; US010 &gt; RJ-45 Коннектор Кат.6 (уп-ка 100шт.)</t>
  </si>
  <si>
    <t>Коммутатор D-Link Gigabit Switch DGS-1008D /I2B</t>
  </si>
  <si>
    <t>D-Link &lt; DGS-1008D / I2B &gt; 8-port Gigabit Switch (8UTP 10 / 100 / 1000Mbps)</t>
  </si>
  <si>
    <t>Итого:</t>
  </si>
  <si>
    <t>Разработка подсистемы математической модели турбогенератора</t>
  </si>
  <si>
    <t>шт.</t>
  </si>
  <si>
    <t>Разработка подсистемы математической модели водогрейного котла-утилизатора</t>
  </si>
  <si>
    <t>Разработка подсистемы математической модели дожимной компрессорной станции</t>
  </si>
  <si>
    <t>Разработка подсистемы математической модели вспомогательного оборудования и электрической части</t>
  </si>
  <si>
    <t>Разработка подсистемы математической модели АСУ</t>
  </si>
  <si>
    <t>Разработка сценариев тренировок и подсистемы автоматической оценки</t>
  </si>
  <si>
    <t>-</t>
  </si>
  <si>
    <t>Разработка сопроводительной документации: Руководство инструктора, Руководство пользователя (обучаемого), Руководство по эксплуатации тренажера</t>
  </si>
  <si>
    <t>Вид услуг</t>
  </si>
  <si>
    <t>Ед. изм.</t>
  </si>
  <si>
    <t>Единичная расценка, руб. (без НДС)</t>
  </si>
  <si>
    <t>Общая стоимость, руб. (без НДС)</t>
  </si>
  <si>
    <t>Примечания</t>
  </si>
  <si>
    <t>Разработка документов: Отчета технического проекта, Программы опытной эксплуатации, Протоколов испытаний тренажера, Журнала опытной эксплуатации, Заключения о результатах опытной эксплуатации</t>
  </si>
  <si>
    <t>Разработка средств автоматизации планирования и учета занятий на тренажере</t>
  </si>
  <si>
    <t>АРМ обучаемого</t>
  </si>
  <si>
    <t>АРМ инструктора</t>
  </si>
  <si>
    <t>Мы:</t>
  </si>
  <si>
    <t>6 человек на 10 месяцев с з/пл 50 т.р.</t>
  </si>
  <si>
    <t>Сумма может быть любой</t>
  </si>
  <si>
    <t>Разработка технического проекта</t>
  </si>
  <si>
    <t>Пилотная версия</t>
  </si>
  <si>
    <t>Итоговая версия</t>
  </si>
  <si>
    <t>Сервер</t>
  </si>
  <si>
    <t>Покупка ПК рабочего места инструктора с установкой ПО</t>
  </si>
  <si>
    <t>Покупка ПК рабочих мест обучаемых с установкой ПО</t>
  </si>
  <si>
    <t>мес</t>
  </si>
  <si>
    <t>суток</t>
  </si>
  <si>
    <t>Покупка сервера с установкой ПО</t>
  </si>
  <si>
    <t>Мы</t>
  </si>
  <si>
    <t>Наименование этапа</t>
  </si>
  <si>
    <t>Номер этапа в графике (приложение к Договору)</t>
  </si>
  <si>
    <t>Срок платежа</t>
  </si>
  <si>
    <t>Сумма платежа, руб. (с НДС)</t>
  </si>
  <si>
    <t>Разработка и сдача технического проекта</t>
  </si>
  <si>
    <t>Закупка базового программного обеспечения для разработки математической модели</t>
  </si>
  <si>
    <t>№</t>
  </si>
  <si>
    <t>п/п</t>
  </si>
  <si>
    <t>График выполнения, в месяцах с момента подписания Договора</t>
  </si>
  <si>
    <t>месяц</t>
  </si>
  <si>
    <t>Математическое моделирование/ Разработка пилотного варианта тренажера</t>
  </si>
  <si>
    <t>Разработка вспомогательного программного обеспечения</t>
  </si>
  <si>
    <t>Приемочные испытания (автономные) в опытную эксплуатацию пилотного варианта тренажера</t>
  </si>
  <si>
    <t>Подготовка персонала Заказчика</t>
  </si>
  <si>
    <t>Математическое моделирование/Разработка окончательной версии тренажера</t>
  </si>
  <si>
    <t>Разработка сопроводительной и иной документации</t>
  </si>
  <si>
    <t>Подготовка помещения</t>
  </si>
  <si>
    <t>Закупка, поставка, монтаж и наладка технических средств тренажерного комплекса</t>
  </si>
  <si>
    <t>Опытная эксплуатация</t>
  </si>
  <si>
    <t>Приемочные испытания (комплексные) в промышленную эксплуатацию окончательной версии тренажерного комплекса</t>
  </si>
  <si>
    <r>
      <t>3</t>
    </r>
    <r>
      <rPr>
        <sz val="11"/>
        <rFont val="Times New Roman"/>
        <family val="1"/>
      </rPr>
      <t> </t>
    </r>
  </si>
  <si>
    <t>10 18 20</t>
  </si>
  <si>
    <t xml:space="preserve">2 3 </t>
  </si>
  <si>
    <t>4 5 6 11</t>
  </si>
  <si>
    <t>14 15 16</t>
  </si>
  <si>
    <t>7 8 9 21</t>
  </si>
  <si>
    <t>17 19 20</t>
  </si>
  <si>
    <t>График оплаты</t>
  </si>
  <si>
    <t>Итого по месяцам:</t>
  </si>
  <si>
    <t>Проведение патентных исследований в соответствии с ГОСТ Р 15.01.110-96</t>
  </si>
  <si>
    <t>Исполнение гарантийных обязательств</t>
  </si>
  <si>
    <t>Исполнение и контроль Этапа разработки и сдачи технического проекта и сбор исходных данных (суточные, гостиница)</t>
  </si>
  <si>
    <t>Исполнение и контроль: Этап приемочных испытаний (суточные, гостиница)</t>
  </si>
  <si>
    <t>Календарный план</t>
  </si>
  <si>
    <t>Сроки выполнения (начало и окончание)</t>
  </si>
  <si>
    <t>в денежном выражении, руб. (без НДС)</t>
  </si>
  <si>
    <t>в % от общей стоимости работ</t>
  </si>
  <si>
    <t>компл.</t>
  </si>
  <si>
    <t>2 месяц</t>
  </si>
  <si>
    <t>2-5 месяц</t>
  </si>
  <si>
    <t>6-10 месяц</t>
  </si>
  <si>
    <t>8-9 месяц</t>
  </si>
  <si>
    <t>1 месяц</t>
  </si>
  <si>
    <t>2-10 месяц</t>
  </si>
  <si>
    <t>6 месяц</t>
  </si>
  <si>
    <t>10-22 месяц</t>
  </si>
  <si>
    <t>10 месяц</t>
  </si>
  <si>
    <t>1-10 месяц</t>
  </si>
  <si>
    <t>6-7 месяц</t>
  </si>
  <si>
    <t>Подготовка/ремонт помещения</t>
  </si>
  <si>
    <t>м2</t>
  </si>
  <si>
    <t>Вид работ</t>
  </si>
  <si>
    <t>Сводная таблица стоимости работ</t>
  </si>
  <si>
    <t>План распределения объемов выполнения работ между генеральным подрядчиком и субподрядчиками</t>
  </si>
  <si>
    <t>Наименование работ</t>
  </si>
  <si>
    <t>Наименование организации, выполняющих данный объем работ</t>
  </si>
  <si>
    <t>Стоимость работ</t>
  </si>
  <si>
    <t>Покупка лицензии на базовое программное обеспечение ARUBA (не более 3000 переменных)</t>
  </si>
  <si>
    <t>группа</t>
  </si>
  <si>
    <t>Подготовка персонала заказчика (до 8 человек)</t>
  </si>
  <si>
    <t>включая выходные</t>
  </si>
  <si>
    <t>ИГЭУ</t>
  </si>
  <si>
    <t>Сборка и монтаж тренажера</t>
  </si>
  <si>
    <t>Покупка авиабилетов Москва-Томск-Москва (2 командировки)</t>
  </si>
  <si>
    <t>Закупаемое оборудование (цены nix.ru)</t>
  </si>
  <si>
    <t>C5000-ITX (C537GLNi): Core i3-4170 / 4 Гб / 1 Тб / HD Graphics 4400 / DVDRW / Win8.1</t>
  </si>
  <si>
    <t xml:space="preserve">Здравствуйте,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</si>
</sst>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i/>
      <sz val="7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2" borderId="13" xfId="0" applyFont="1" applyFill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3" fontId="2" fillId="0" borderId="14" xfId="0" applyNumberFormat="1" applyFont="1" applyBorder="1" applyAlignment="1">
      <alignment horizontal="right" vertical="top" wrapText="1"/>
    </xf>
    <xf numFmtId="0" fontId="4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3" fontId="2" fillId="0" borderId="14" xfId="0" applyNumberFormat="1" applyFont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wrapText="1"/>
    </xf>
    <xf numFmtId="0" fontId="6" fillId="32" borderId="16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2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top" wrapText="1"/>
    </xf>
    <xf numFmtId="0" fontId="2" fillId="10" borderId="14" xfId="0" applyFont="1" applyFill="1" applyBorder="1" applyAlignment="1">
      <alignment vertical="top" wrapText="1"/>
    </xf>
    <xf numFmtId="3" fontId="2" fillId="10" borderId="14" xfId="0" applyNumberFormat="1" applyFont="1" applyFill="1" applyBorder="1" applyAlignment="1">
      <alignment horizontal="center" vertical="top" wrapText="1"/>
    </xf>
    <xf numFmtId="3" fontId="2" fillId="10" borderId="14" xfId="0" applyNumberFormat="1" applyFont="1" applyFill="1" applyBorder="1" applyAlignment="1">
      <alignment horizontal="right" vertical="top" wrapText="1"/>
    </xf>
    <xf numFmtId="0" fontId="0" fillId="0" borderId="0" xfId="0" applyAlignment="1" quotePrefix="1">
      <alignment/>
    </xf>
    <xf numFmtId="0" fontId="0" fillId="10" borderId="0" xfId="0" applyFill="1" applyAlignment="1">
      <alignment/>
    </xf>
    <xf numFmtId="0" fontId="10" fillId="0" borderId="0" xfId="0" applyFont="1" applyAlignment="1">
      <alignment horizont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5.625" style="0" customWidth="1"/>
    <col min="2" max="2" width="49.375" style="0" customWidth="1"/>
    <col min="3" max="3" width="97.625" style="0" customWidth="1"/>
    <col min="6" max="6" width="11.375" style="0" customWidth="1"/>
  </cols>
  <sheetData>
    <row r="1" spans="1:6" ht="12.75">
      <c r="A1" s="61" t="s">
        <v>128</v>
      </c>
      <c r="B1" s="61"/>
      <c r="C1" s="61"/>
      <c r="D1" s="61"/>
      <c r="E1" s="61"/>
      <c r="F1" s="61"/>
    </row>
    <row r="2" ht="13.5" thickBot="1"/>
    <row r="3" spans="1:7" ht="26.25" customHeight="1" thickBot="1">
      <c r="A3" s="7" t="s">
        <v>6</v>
      </c>
      <c r="B3" s="7" t="s">
        <v>5</v>
      </c>
      <c r="C3" s="7" t="s">
        <v>4</v>
      </c>
      <c r="D3" s="7" t="s">
        <v>3</v>
      </c>
      <c r="E3" s="7" t="s">
        <v>2</v>
      </c>
      <c r="F3" s="7" t="s">
        <v>9</v>
      </c>
      <c r="G3" s="2"/>
    </row>
    <row r="4" spans="1:9" ht="12.75">
      <c r="A4" s="8">
        <v>1</v>
      </c>
      <c r="B4" s="5" t="s">
        <v>0</v>
      </c>
      <c r="C4" s="5" t="s">
        <v>129</v>
      </c>
      <c r="D4" s="6">
        <v>4</v>
      </c>
      <c r="E4" s="1">
        <v>32248</v>
      </c>
      <c r="F4" s="5">
        <f aca="true" t="shared" si="0" ref="F4:F13">D4*E4</f>
        <v>128992</v>
      </c>
      <c r="G4" s="2"/>
      <c r="I4" t="s">
        <v>16</v>
      </c>
    </row>
    <row r="5" spans="1:10" ht="12.75">
      <c r="A5" s="9">
        <v>2</v>
      </c>
      <c r="B5" s="3" t="s">
        <v>7</v>
      </c>
      <c r="C5" s="3" t="s">
        <v>8</v>
      </c>
      <c r="D5" s="3">
        <v>1</v>
      </c>
      <c r="E5" s="4">
        <v>95754</v>
      </c>
      <c r="F5" s="3">
        <f t="shared" si="0"/>
        <v>95754</v>
      </c>
      <c r="G5" s="2"/>
      <c r="I5" t="s">
        <v>19</v>
      </c>
      <c r="J5" t="s">
        <v>20</v>
      </c>
    </row>
    <row r="6" spans="1:9" ht="12.75">
      <c r="A6" s="9">
        <v>3</v>
      </c>
      <c r="B6" s="3" t="s">
        <v>10</v>
      </c>
      <c r="C6" s="3" t="s">
        <v>11</v>
      </c>
      <c r="D6" s="3">
        <v>7</v>
      </c>
      <c r="E6" s="4">
        <v>22930</v>
      </c>
      <c r="F6" s="3">
        <f t="shared" si="0"/>
        <v>160510</v>
      </c>
      <c r="G6" s="2"/>
      <c r="I6" t="s">
        <v>17</v>
      </c>
    </row>
    <row r="7" spans="1:9" ht="12.75">
      <c r="A7" s="9">
        <v>4</v>
      </c>
      <c r="B7" s="3" t="s">
        <v>12</v>
      </c>
      <c r="C7" s="3" t="s">
        <v>13</v>
      </c>
      <c r="D7" s="3">
        <v>5</v>
      </c>
      <c r="E7" s="4">
        <v>1457</v>
      </c>
      <c r="F7" s="3">
        <f t="shared" si="0"/>
        <v>7285</v>
      </c>
      <c r="G7" s="2"/>
      <c r="I7" t="s">
        <v>21</v>
      </c>
    </row>
    <row r="8" spans="1:9" ht="12.75">
      <c r="A8" s="9">
        <v>5</v>
      </c>
      <c r="B8" s="3" t="s">
        <v>14</v>
      </c>
      <c r="C8" s="3" t="s">
        <v>15</v>
      </c>
      <c r="D8" s="3">
        <v>1</v>
      </c>
      <c r="E8" s="4">
        <v>6215</v>
      </c>
      <c r="F8" s="3">
        <f t="shared" si="0"/>
        <v>6215</v>
      </c>
      <c r="G8" s="2"/>
      <c r="I8" t="s">
        <v>18</v>
      </c>
    </row>
    <row r="9" spans="1:7" ht="12.75">
      <c r="A9" s="9">
        <v>6</v>
      </c>
      <c r="B9" s="3" t="s">
        <v>22</v>
      </c>
      <c r="C9" s="3" t="s">
        <v>23</v>
      </c>
      <c r="D9" s="3">
        <v>4</v>
      </c>
      <c r="E9" s="4">
        <v>23643</v>
      </c>
      <c r="F9" s="3">
        <f t="shared" si="0"/>
        <v>94572</v>
      </c>
      <c r="G9" s="2"/>
    </row>
    <row r="10" spans="1:7" ht="12.75">
      <c r="A10" s="9">
        <v>7</v>
      </c>
      <c r="B10" s="3" t="s">
        <v>24</v>
      </c>
      <c r="C10" s="3" t="s">
        <v>25</v>
      </c>
      <c r="D10" s="3">
        <v>1</v>
      </c>
      <c r="E10" s="4">
        <v>98359</v>
      </c>
      <c r="F10" s="3">
        <f t="shared" si="0"/>
        <v>98359</v>
      </c>
      <c r="G10" s="2"/>
    </row>
    <row r="11" spans="1:7" ht="12.75">
      <c r="A11" s="9">
        <v>8</v>
      </c>
      <c r="B11" s="3" t="s">
        <v>30</v>
      </c>
      <c r="C11" s="3" t="s">
        <v>31</v>
      </c>
      <c r="D11" s="3">
        <v>1</v>
      </c>
      <c r="E11" s="4">
        <v>1936</v>
      </c>
      <c r="F11" s="3">
        <f t="shared" si="0"/>
        <v>1936</v>
      </c>
      <c r="G11" s="2"/>
    </row>
    <row r="12" spans="1:7" ht="12.75">
      <c r="A12" s="9">
        <v>9</v>
      </c>
      <c r="B12" s="3" t="s">
        <v>26</v>
      </c>
      <c r="C12" s="3" t="s">
        <v>27</v>
      </c>
      <c r="D12" s="3">
        <f>40/100</f>
        <v>0.4</v>
      </c>
      <c r="E12" s="4">
        <v>1715</v>
      </c>
      <c r="F12" s="3">
        <f t="shared" si="0"/>
        <v>686</v>
      </c>
      <c r="G12" s="2"/>
    </row>
    <row r="13" spans="1:7" ht="12.75">
      <c r="A13" s="9">
        <v>10</v>
      </c>
      <c r="B13" s="3" t="s">
        <v>28</v>
      </c>
      <c r="C13" s="3" t="s">
        <v>29</v>
      </c>
      <c r="D13" s="3">
        <f>14/100</f>
        <v>0.14</v>
      </c>
      <c r="E13" s="3">
        <v>765</v>
      </c>
      <c r="F13" s="3">
        <f t="shared" si="0"/>
        <v>107.10000000000001</v>
      </c>
      <c r="G13" s="2"/>
    </row>
    <row r="14" spans="1:7" ht="12.75">
      <c r="A14" s="3"/>
      <c r="B14" s="3"/>
      <c r="C14" s="3"/>
      <c r="D14" s="3"/>
      <c r="E14" s="4"/>
      <c r="F14" s="3"/>
      <c r="G14" s="2"/>
    </row>
    <row r="15" spans="1:7" ht="13.5" thickBot="1">
      <c r="A15" s="10"/>
      <c r="B15" s="10" t="s">
        <v>32</v>
      </c>
      <c r="C15" s="10"/>
      <c r="D15" s="10"/>
      <c r="E15" s="10"/>
      <c r="F15" s="10">
        <f>SUM(F4:F14)</f>
        <v>594416.1</v>
      </c>
      <c r="G15" s="2"/>
    </row>
    <row r="18" spans="8:9" ht="12.75">
      <c r="H18" s="1">
        <f>E4+2*E6+E7+E9</f>
        <v>103208</v>
      </c>
      <c r="I18" t="s">
        <v>49</v>
      </c>
    </row>
    <row r="19" spans="8:9" ht="12.75">
      <c r="H19" s="1">
        <f>E4+E6+E7+E9+E8</f>
        <v>86493</v>
      </c>
      <c r="I19" t="s">
        <v>50</v>
      </c>
    </row>
    <row r="20" spans="8:9" ht="12.75">
      <c r="H20" s="1">
        <f>E5+E7+E10+E11+F12+F13</f>
        <v>198299.1</v>
      </c>
      <c r="I20" t="s">
        <v>57</v>
      </c>
    </row>
    <row r="23" ht="12.75">
      <c r="H23">
        <f>H18*3+H19+H20</f>
        <v>594416.1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4">
      <selection activeCell="E12" sqref="E12"/>
    </sheetView>
  </sheetViews>
  <sheetFormatPr defaultColWidth="9.00390625" defaultRowHeight="12.75"/>
  <cols>
    <col min="1" max="1" width="9.00390625" style="0" bestFit="1" customWidth="1"/>
    <col min="2" max="2" width="77.375" style="0" customWidth="1"/>
    <col min="3" max="3" width="6.75390625" style="0" customWidth="1"/>
    <col min="4" max="4" width="7.125" style="0" customWidth="1"/>
    <col min="5" max="5" width="11.25390625" style="0" customWidth="1"/>
    <col min="6" max="6" width="13.00390625" style="0" customWidth="1"/>
    <col min="7" max="11" width="12.25390625" style="0" customWidth="1"/>
    <col min="12" max="12" width="22.375" style="0" customWidth="1"/>
    <col min="13" max="13" width="17.625" style="0" customWidth="1"/>
    <col min="15" max="15" width="10.125" style="0" bestFit="1" customWidth="1"/>
  </cols>
  <sheetData>
    <row r="1" spans="1:7" ht="12.75">
      <c r="A1" s="61" t="s">
        <v>116</v>
      </c>
      <c r="B1" s="61"/>
      <c r="C1" s="61"/>
      <c r="D1" s="61"/>
      <c r="E1" s="61"/>
      <c r="F1" s="61"/>
      <c r="G1" s="61"/>
    </row>
    <row r="2" ht="13.5" thickBot="1"/>
    <row r="3" spans="1:11" ht="62.25" customHeight="1" thickBot="1">
      <c r="A3" s="33" t="s">
        <v>6</v>
      </c>
      <c r="B3" s="33" t="s">
        <v>115</v>
      </c>
      <c r="C3" s="33" t="s">
        <v>43</v>
      </c>
      <c r="D3" s="33" t="s">
        <v>1</v>
      </c>
      <c r="E3" s="33" t="s">
        <v>44</v>
      </c>
      <c r="F3" s="33" t="s">
        <v>45</v>
      </c>
      <c r="G3" s="33" t="s">
        <v>46</v>
      </c>
      <c r="H3" s="17" t="s">
        <v>63</v>
      </c>
      <c r="I3" s="17" t="s">
        <v>51</v>
      </c>
      <c r="J3" s="17" t="s">
        <v>125</v>
      </c>
      <c r="K3" s="17"/>
    </row>
    <row r="4" spans="1:11" ht="13.5" thickBot="1">
      <c r="A4" s="14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8"/>
      <c r="I4" s="18"/>
      <c r="J4" s="18"/>
      <c r="K4" s="18"/>
    </row>
    <row r="5" spans="1:13" ht="15">
      <c r="A5" s="11">
        <v>1</v>
      </c>
      <c r="B5" s="12" t="s">
        <v>121</v>
      </c>
      <c r="C5" s="11" t="s">
        <v>34</v>
      </c>
      <c r="D5" s="16">
        <v>6</v>
      </c>
      <c r="E5" s="13">
        <v>1500000</v>
      </c>
      <c r="F5" s="13">
        <f>D5*E5</f>
        <v>9000000</v>
      </c>
      <c r="G5" s="12"/>
      <c r="H5" s="19">
        <v>1</v>
      </c>
      <c r="I5" s="21">
        <f>F5*H5</f>
        <v>9000000</v>
      </c>
      <c r="J5" s="21">
        <f>(1-H5)*F5</f>
        <v>0</v>
      </c>
      <c r="K5" s="21"/>
      <c r="M5" t="s">
        <v>53</v>
      </c>
    </row>
    <row r="6" spans="1:14" ht="15">
      <c r="A6" s="11">
        <v>2</v>
      </c>
      <c r="B6" s="12" t="s">
        <v>33</v>
      </c>
      <c r="C6" s="11" t="s">
        <v>34</v>
      </c>
      <c r="D6" s="16">
        <v>1</v>
      </c>
      <c r="E6" s="13">
        <v>750000</v>
      </c>
      <c r="F6" s="13">
        <f>D6*E6</f>
        <v>750000</v>
      </c>
      <c r="G6" s="12"/>
      <c r="H6" s="19">
        <v>1</v>
      </c>
      <c r="I6" s="21">
        <f aca="true" t="shared" si="0" ref="I6:I26">F6*H6</f>
        <v>750000</v>
      </c>
      <c r="J6" s="21">
        <f aca="true" t="shared" si="1" ref="J6:J26">(1-H6)*F6</f>
        <v>0</v>
      </c>
      <c r="K6" s="21"/>
      <c r="L6" t="s">
        <v>55</v>
      </c>
      <c r="M6">
        <f>6*10*50000</f>
        <v>3000000</v>
      </c>
      <c r="N6" t="s">
        <v>52</v>
      </c>
    </row>
    <row r="7" spans="1:12" ht="15">
      <c r="A7" s="11">
        <v>3</v>
      </c>
      <c r="B7" s="12" t="s">
        <v>35</v>
      </c>
      <c r="C7" s="11" t="s">
        <v>34</v>
      </c>
      <c r="D7" s="16">
        <v>1</v>
      </c>
      <c r="E7" s="13">
        <v>750000</v>
      </c>
      <c r="F7" s="13">
        <f>D7*E7</f>
        <v>750000</v>
      </c>
      <c r="G7" s="13"/>
      <c r="H7" s="20">
        <v>1</v>
      </c>
      <c r="I7" s="21">
        <f t="shared" si="0"/>
        <v>750000</v>
      </c>
      <c r="J7" s="21">
        <f t="shared" si="1"/>
        <v>0</v>
      </c>
      <c r="K7" s="21"/>
      <c r="L7" t="s">
        <v>55</v>
      </c>
    </row>
    <row r="8" spans="1:12" ht="15">
      <c r="A8" s="11">
        <v>4</v>
      </c>
      <c r="B8" s="12" t="s">
        <v>36</v>
      </c>
      <c r="C8" s="11" t="s">
        <v>34</v>
      </c>
      <c r="D8" s="16">
        <v>1</v>
      </c>
      <c r="E8" s="13">
        <v>750000</v>
      </c>
      <c r="F8" s="13">
        <f aca="true" t="shared" si="2" ref="F8:F26">D8*E8</f>
        <v>750000</v>
      </c>
      <c r="G8" s="12"/>
      <c r="H8" s="19">
        <v>1</v>
      </c>
      <c r="I8" s="21">
        <f t="shared" si="0"/>
        <v>750000</v>
      </c>
      <c r="J8" s="21">
        <f t="shared" si="1"/>
        <v>0</v>
      </c>
      <c r="K8" s="21"/>
      <c r="L8" t="s">
        <v>56</v>
      </c>
    </row>
    <row r="9" spans="1:12" ht="30">
      <c r="A9" s="11">
        <v>5</v>
      </c>
      <c r="B9" s="12" t="s">
        <v>37</v>
      </c>
      <c r="C9" s="11" t="s">
        <v>34</v>
      </c>
      <c r="D9" s="16">
        <v>1</v>
      </c>
      <c r="E9" s="13">
        <v>750000</v>
      </c>
      <c r="F9" s="13">
        <f t="shared" si="2"/>
        <v>750000</v>
      </c>
      <c r="G9" s="12"/>
      <c r="H9" s="19">
        <v>1</v>
      </c>
      <c r="I9" s="21">
        <f t="shared" si="0"/>
        <v>750000</v>
      </c>
      <c r="J9" s="21">
        <f t="shared" si="1"/>
        <v>0</v>
      </c>
      <c r="K9" s="21"/>
      <c r="L9" t="s">
        <v>56</v>
      </c>
    </row>
    <row r="10" spans="1:13" ht="15">
      <c r="A10" s="55">
        <v>6</v>
      </c>
      <c r="B10" s="56" t="s">
        <v>38</v>
      </c>
      <c r="C10" s="55" t="s">
        <v>34</v>
      </c>
      <c r="D10" s="57">
        <v>1</v>
      </c>
      <c r="E10" s="58">
        <v>1511418</v>
      </c>
      <c r="F10" s="58">
        <f t="shared" si="2"/>
        <v>1511418</v>
      </c>
      <c r="G10" s="12"/>
      <c r="H10" s="19"/>
      <c r="I10" s="21">
        <f t="shared" si="0"/>
        <v>0</v>
      </c>
      <c r="J10" s="21">
        <f t="shared" si="1"/>
        <v>1511418</v>
      </c>
      <c r="K10" s="21"/>
      <c r="L10" s="60" t="s">
        <v>125</v>
      </c>
      <c r="M10" t="s">
        <v>56</v>
      </c>
    </row>
    <row r="11" spans="1:11" ht="15">
      <c r="A11" s="11">
        <v>7</v>
      </c>
      <c r="B11" s="12" t="s">
        <v>59</v>
      </c>
      <c r="C11" s="11" t="s">
        <v>34</v>
      </c>
      <c r="D11" s="16">
        <v>3</v>
      </c>
      <c r="E11" s="13">
        <f>'Закупаемое оборудование'!H18</f>
        <v>103208</v>
      </c>
      <c r="F11" s="13">
        <f t="shared" si="2"/>
        <v>309624</v>
      </c>
      <c r="G11" s="12"/>
      <c r="H11" s="19">
        <v>1</v>
      </c>
      <c r="I11" s="21">
        <f t="shared" si="0"/>
        <v>309624</v>
      </c>
      <c r="J11" s="21">
        <f t="shared" si="1"/>
        <v>0</v>
      </c>
      <c r="K11" s="21"/>
    </row>
    <row r="12" spans="1:11" ht="15">
      <c r="A12" s="11">
        <v>8</v>
      </c>
      <c r="B12" s="12" t="s">
        <v>58</v>
      </c>
      <c r="C12" s="11" t="s">
        <v>34</v>
      </c>
      <c r="D12" s="16">
        <v>1</v>
      </c>
      <c r="E12" s="13">
        <f>'Закупаемое оборудование'!H19</f>
        <v>86493</v>
      </c>
      <c r="F12" s="13">
        <f t="shared" si="2"/>
        <v>86493</v>
      </c>
      <c r="G12" s="12"/>
      <c r="H12" s="19">
        <v>1</v>
      </c>
      <c r="I12" s="21">
        <f t="shared" si="0"/>
        <v>86493</v>
      </c>
      <c r="J12" s="21">
        <f t="shared" si="1"/>
        <v>0</v>
      </c>
      <c r="K12" s="21"/>
    </row>
    <row r="13" spans="1:11" ht="15">
      <c r="A13" s="11">
        <v>9</v>
      </c>
      <c r="B13" s="12" t="s">
        <v>62</v>
      </c>
      <c r="C13" s="11" t="s">
        <v>34</v>
      </c>
      <c r="D13" s="16">
        <v>1</v>
      </c>
      <c r="E13" s="13">
        <f>'Закупаемое оборудование'!H20</f>
        <v>198299.1</v>
      </c>
      <c r="F13" s="13">
        <f t="shared" si="2"/>
        <v>198299.1</v>
      </c>
      <c r="G13" s="12"/>
      <c r="H13" s="19">
        <v>1</v>
      </c>
      <c r="I13" s="21">
        <f t="shared" si="0"/>
        <v>198299.1</v>
      </c>
      <c r="J13" s="21">
        <f t="shared" si="1"/>
        <v>0</v>
      </c>
      <c r="K13" s="21"/>
    </row>
    <row r="14" spans="1:12" ht="15">
      <c r="A14" s="55">
        <v>10</v>
      </c>
      <c r="B14" s="56" t="s">
        <v>54</v>
      </c>
      <c r="C14" s="55" t="s">
        <v>34</v>
      </c>
      <c r="D14" s="57">
        <v>1</v>
      </c>
      <c r="E14" s="58">
        <f>688358+100000</f>
        <v>788358</v>
      </c>
      <c r="F14" s="58">
        <f t="shared" si="2"/>
        <v>788358</v>
      </c>
      <c r="G14" s="12"/>
      <c r="H14" s="19">
        <v>0</v>
      </c>
      <c r="I14" s="21">
        <f t="shared" si="0"/>
        <v>0</v>
      </c>
      <c r="J14" s="21">
        <f t="shared" si="1"/>
        <v>788358</v>
      </c>
      <c r="K14" s="21"/>
      <c r="L14" s="60" t="s">
        <v>125</v>
      </c>
    </row>
    <row r="15" spans="1:12" ht="15">
      <c r="A15" s="55">
        <v>11</v>
      </c>
      <c r="B15" s="56" t="s">
        <v>39</v>
      </c>
      <c r="C15" s="55" t="s">
        <v>34</v>
      </c>
      <c r="D15" s="57">
        <v>1</v>
      </c>
      <c r="E15" s="58">
        <v>511907</v>
      </c>
      <c r="F15" s="58">
        <f t="shared" si="2"/>
        <v>511907</v>
      </c>
      <c r="G15" s="12"/>
      <c r="H15" s="19">
        <v>0</v>
      </c>
      <c r="I15" s="21">
        <f t="shared" si="0"/>
        <v>0</v>
      </c>
      <c r="J15" s="21">
        <f t="shared" si="1"/>
        <v>511907</v>
      </c>
      <c r="K15" s="21"/>
      <c r="L15" s="60" t="s">
        <v>125</v>
      </c>
    </row>
    <row r="16" spans="1:12" ht="15">
      <c r="A16" s="55">
        <v>12</v>
      </c>
      <c r="B16" s="56" t="s">
        <v>48</v>
      </c>
      <c r="C16" s="55" t="s">
        <v>34</v>
      </c>
      <c r="D16" s="57">
        <v>1</v>
      </c>
      <c r="E16" s="58">
        <v>818360</v>
      </c>
      <c r="F16" s="58">
        <f t="shared" si="2"/>
        <v>818360</v>
      </c>
      <c r="G16" s="12"/>
      <c r="H16" s="19">
        <v>0</v>
      </c>
      <c r="I16" s="21">
        <f t="shared" si="0"/>
        <v>0</v>
      </c>
      <c r="J16" s="21">
        <f t="shared" si="1"/>
        <v>818360</v>
      </c>
      <c r="K16" s="21"/>
      <c r="L16" s="60" t="s">
        <v>125</v>
      </c>
    </row>
    <row r="17" spans="1:12" ht="18.75" customHeight="1">
      <c r="A17" s="55">
        <v>13</v>
      </c>
      <c r="B17" s="56" t="s">
        <v>123</v>
      </c>
      <c r="C17" s="55" t="s">
        <v>122</v>
      </c>
      <c r="D17" s="57">
        <v>1</v>
      </c>
      <c r="E17" s="58">
        <v>208097</v>
      </c>
      <c r="F17" s="58">
        <f t="shared" si="2"/>
        <v>208097</v>
      </c>
      <c r="G17" s="12"/>
      <c r="H17" s="19">
        <v>0</v>
      </c>
      <c r="I17" s="21">
        <f t="shared" si="0"/>
        <v>0</v>
      </c>
      <c r="J17" s="21">
        <f t="shared" si="1"/>
        <v>208097</v>
      </c>
      <c r="K17" s="21"/>
      <c r="L17" s="60" t="s">
        <v>125</v>
      </c>
    </row>
    <row r="18" spans="1:12" ht="45">
      <c r="A18" s="55">
        <v>14</v>
      </c>
      <c r="B18" s="56" t="s">
        <v>47</v>
      </c>
      <c r="C18" s="55" t="s">
        <v>101</v>
      </c>
      <c r="D18" s="55">
        <v>1</v>
      </c>
      <c r="E18" s="58">
        <f>550980+150000</f>
        <v>700980</v>
      </c>
      <c r="F18" s="58">
        <f t="shared" si="2"/>
        <v>700980</v>
      </c>
      <c r="G18" s="12"/>
      <c r="H18" s="19">
        <v>0</v>
      </c>
      <c r="I18" s="21">
        <f t="shared" si="0"/>
        <v>0</v>
      </c>
      <c r="J18" s="21">
        <f t="shared" si="1"/>
        <v>700980</v>
      </c>
      <c r="K18" s="21"/>
      <c r="L18" s="60" t="s">
        <v>125</v>
      </c>
    </row>
    <row r="19" spans="1:12" ht="30">
      <c r="A19" s="55">
        <v>15</v>
      </c>
      <c r="B19" s="56" t="s">
        <v>41</v>
      </c>
      <c r="C19" s="55" t="s">
        <v>101</v>
      </c>
      <c r="D19" s="55">
        <v>1</v>
      </c>
      <c r="E19" s="58">
        <v>459150</v>
      </c>
      <c r="F19" s="58">
        <f t="shared" si="2"/>
        <v>459150</v>
      </c>
      <c r="G19" s="12"/>
      <c r="H19" s="19">
        <v>0</v>
      </c>
      <c r="I19" s="21">
        <f t="shared" si="0"/>
        <v>0</v>
      </c>
      <c r="J19" s="21">
        <f t="shared" si="1"/>
        <v>459150</v>
      </c>
      <c r="K19" s="21"/>
      <c r="L19" s="60" t="s">
        <v>125</v>
      </c>
    </row>
    <row r="20" spans="1:12" ht="15">
      <c r="A20" s="55">
        <v>16</v>
      </c>
      <c r="B20" s="56" t="s">
        <v>93</v>
      </c>
      <c r="C20" s="55" t="s">
        <v>34</v>
      </c>
      <c r="D20" s="55">
        <v>1</v>
      </c>
      <c r="E20" s="58">
        <v>344045</v>
      </c>
      <c r="F20" s="58">
        <f t="shared" si="2"/>
        <v>344045</v>
      </c>
      <c r="G20" s="12"/>
      <c r="H20" s="19">
        <v>0</v>
      </c>
      <c r="I20" s="21">
        <f t="shared" si="0"/>
        <v>0</v>
      </c>
      <c r="J20" s="21">
        <f t="shared" si="1"/>
        <v>344045</v>
      </c>
      <c r="K20" s="21"/>
      <c r="L20" s="60" t="s">
        <v>125</v>
      </c>
    </row>
    <row r="21" spans="1:11" ht="15">
      <c r="A21" s="11">
        <v>17</v>
      </c>
      <c r="B21" s="12" t="s">
        <v>94</v>
      </c>
      <c r="C21" s="11" t="s">
        <v>60</v>
      </c>
      <c r="D21" s="11">
        <v>12</v>
      </c>
      <c r="E21" s="13">
        <v>30000</v>
      </c>
      <c r="F21" s="13">
        <f t="shared" si="2"/>
        <v>360000</v>
      </c>
      <c r="G21" s="12"/>
      <c r="H21" s="19">
        <v>1</v>
      </c>
      <c r="I21" s="21">
        <f t="shared" si="0"/>
        <v>360000</v>
      </c>
      <c r="J21" s="21">
        <f t="shared" si="1"/>
        <v>0</v>
      </c>
      <c r="K21" s="21"/>
    </row>
    <row r="22" spans="1:11" ht="30">
      <c r="A22" s="11">
        <v>18</v>
      </c>
      <c r="B22" s="12" t="s">
        <v>95</v>
      </c>
      <c r="C22" s="11" t="s">
        <v>61</v>
      </c>
      <c r="D22" s="11">
        <v>5</v>
      </c>
      <c r="E22" s="13">
        <f>700+6000</f>
        <v>6700</v>
      </c>
      <c r="F22" s="13">
        <f>D22*E22</f>
        <v>33500</v>
      </c>
      <c r="G22" s="12"/>
      <c r="H22" s="19">
        <v>1</v>
      </c>
      <c r="I22" s="21">
        <f t="shared" si="0"/>
        <v>33500</v>
      </c>
      <c r="J22" s="21">
        <f t="shared" si="1"/>
        <v>0</v>
      </c>
      <c r="K22" s="21"/>
    </row>
    <row r="23" spans="1:12" ht="15">
      <c r="A23" s="11">
        <v>19</v>
      </c>
      <c r="B23" s="12" t="s">
        <v>96</v>
      </c>
      <c r="C23" s="11" t="s">
        <v>61</v>
      </c>
      <c r="D23" s="11">
        <v>12</v>
      </c>
      <c r="E23" s="13">
        <f>700+6000</f>
        <v>6700</v>
      </c>
      <c r="F23" s="13">
        <f>D23*E23</f>
        <v>80400</v>
      </c>
      <c r="G23" s="12"/>
      <c r="H23" s="19">
        <v>1</v>
      </c>
      <c r="I23" s="21">
        <f t="shared" si="0"/>
        <v>80400</v>
      </c>
      <c r="J23" s="21">
        <f t="shared" si="1"/>
        <v>0</v>
      </c>
      <c r="K23" s="21"/>
      <c r="L23" s="59" t="s">
        <v>124</v>
      </c>
    </row>
    <row r="24" spans="1:11" ht="15">
      <c r="A24" s="11">
        <v>20</v>
      </c>
      <c r="B24" s="12" t="s">
        <v>127</v>
      </c>
      <c r="C24" s="11" t="s">
        <v>34</v>
      </c>
      <c r="D24" s="11">
        <v>2</v>
      </c>
      <c r="E24" s="13">
        <v>27000</v>
      </c>
      <c r="F24" s="13">
        <f>D24*E24</f>
        <v>54000</v>
      </c>
      <c r="G24" s="12"/>
      <c r="H24" s="19">
        <v>1</v>
      </c>
      <c r="I24" s="21">
        <f t="shared" si="0"/>
        <v>54000</v>
      </c>
      <c r="J24" s="21">
        <f t="shared" si="1"/>
        <v>0</v>
      </c>
      <c r="K24" s="21"/>
    </row>
    <row r="25" spans="1:12" ht="15">
      <c r="A25" s="55">
        <v>21</v>
      </c>
      <c r="B25" s="56" t="s">
        <v>126</v>
      </c>
      <c r="C25" s="55" t="s">
        <v>34</v>
      </c>
      <c r="D25" s="55">
        <v>1</v>
      </c>
      <c r="E25" s="58">
        <f>148081+100000</f>
        <v>248081</v>
      </c>
      <c r="F25" s="58">
        <f t="shared" si="2"/>
        <v>248081</v>
      </c>
      <c r="G25" s="12"/>
      <c r="H25" s="19">
        <v>0</v>
      </c>
      <c r="I25" s="21">
        <f t="shared" si="0"/>
        <v>0</v>
      </c>
      <c r="J25" s="21">
        <f t="shared" si="1"/>
        <v>248081</v>
      </c>
      <c r="K25" s="21"/>
      <c r="L25" s="60" t="s">
        <v>125</v>
      </c>
    </row>
    <row r="26" spans="1:12" ht="15">
      <c r="A26" s="55">
        <v>22</v>
      </c>
      <c r="B26" s="56" t="s">
        <v>113</v>
      </c>
      <c r="C26" s="55" t="s">
        <v>114</v>
      </c>
      <c r="D26" s="55">
        <v>50</v>
      </c>
      <c r="E26" s="58">
        <f>7500</f>
        <v>7500</v>
      </c>
      <c r="F26" s="58">
        <f t="shared" si="2"/>
        <v>375000</v>
      </c>
      <c r="G26" s="12"/>
      <c r="H26" s="19">
        <v>0</v>
      </c>
      <c r="I26" s="21">
        <f t="shared" si="0"/>
        <v>0</v>
      </c>
      <c r="J26" s="21">
        <f t="shared" si="1"/>
        <v>375000</v>
      </c>
      <c r="K26" s="21"/>
      <c r="L26" s="60" t="s">
        <v>125</v>
      </c>
    </row>
    <row r="27" spans="5:15" ht="12.75">
      <c r="E27" s="1"/>
      <c r="I27" s="1"/>
      <c r="J27" s="1"/>
      <c r="K27" s="1"/>
      <c r="O27" s="1"/>
    </row>
    <row r="28" spans="5:15" ht="15">
      <c r="E28" s="1" t="s">
        <v>32</v>
      </c>
      <c r="F28" s="1">
        <f>SUM(F5:F26)</f>
        <v>19087712.1</v>
      </c>
      <c r="I28" s="22">
        <f>SUM(I5:I26)</f>
        <v>13122316.1</v>
      </c>
      <c r="J28" s="22">
        <f>SUM(J5:J26)</f>
        <v>5965396</v>
      </c>
      <c r="K28" s="22"/>
      <c r="M28" s="1">
        <f>I28+J28</f>
        <v>19087712.1</v>
      </c>
      <c r="O28" s="1"/>
    </row>
    <row r="29" spans="5:13" ht="12.75">
      <c r="E29" s="1"/>
      <c r="F29" s="1"/>
      <c r="I29" s="1"/>
      <c r="J29" s="1"/>
      <c r="K29" s="1"/>
      <c r="M29" s="1"/>
    </row>
    <row r="30" spans="5:13" ht="12.75">
      <c r="E30" s="1"/>
      <c r="F30" s="1">
        <f>19600000-F28</f>
        <v>512287.8999999985</v>
      </c>
      <c r="I30" s="1">
        <f>19600000-6000000-I28</f>
        <v>477683.9000000004</v>
      </c>
      <c r="J30" s="1">
        <f>6000000-J28</f>
        <v>34604</v>
      </c>
      <c r="K30" s="1"/>
      <c r="M30" s="1">
        <f>19600000-M28</f>
        <v>512287.8999999985</v>
      </c>
    </row>
    <row r="31" spans="5:6" ht="12.75">
      <c r="E31" s="1"/>
      <c r="F31" s="1"/>
    </row>
    <row r="32" ht="12.75">
      <c r="E32" s="1"/>
    </row>
    <row r="33" spans="5:13" ht="12.75">
      <c r="E33" s="1"/>
      <c r="F33" s="1"/>
      <c r="L33" s="1"/>
      <c r="M33" s="1"/>
    </row>
    <row r="34" ht="12.75">
      <c r="E34" s="1"/>
    </row>
    <row r="35" ht="12.75">
      <c r="F35" s="1"/>
    </row>
    <row r="38" ht="12.75">
      <c r="L38" s="1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9">
      <selection activeCell="B24" sqref="B24"/>
    </sheetView>
  </sheetViews>
  <sheetFormatPr defaultColWidth="9.00390625" defaultRowHeight="12.75"/>
  <cols>
    <col min="1" max="1" width="7.375" style="0" bestFit="1" customWidth="1"/>
    <col min="2" max="2" width="33.75390625" style="0" customWidth="1"/>
    <col min="3" max="12" width="6.375" style="0" bestFit="1" customWidth="1"/>
    <col min="17" max="17" width="34.375" style="0" customWidth="1"/>
    <col min="18" max="18" width="15.875" style="0" customWidth="1"/>
    <col min="20" max="20" width="10.125" style="0" bestFit="1" customWidth="1"/>
    <col min="27" max="27" width="10.125" style="0" bestFit="1" customWidth="1"/>
  </cols>
  <sheetData>
    <row r="1" spans="1:20" ht="12.75">
      <c r="A1" s="61" t="s">
        <v>97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P1" s="61" t="s">
        <v>91</v>
      </c>
      <c r="Q1" s="61"/>
      <c r="R1" s="61"/>
      <c r="S1" s="61"/>
      <c r="T1" s="61"/>
    </row>
    <row r="2" ht="13.5" thickBot="1"/>
    <row r="3" spans="1:12" ht="15.75" thickBot="1">
      <c r="A3" s="47" t="s">
        <v>70</v>
      </c>
      <c r="B3" s="62" t="s">
        <v>64</v>
      </c>
      <c r="C3" s="65" t="s">
        <v>72</v>
      </c>
      <c r="D3" s="66"/>
      <c r="E3" s="66"/>
      <c r="F3" s="66"/>
      <c r="G3" s="66"/>
      <c r="H3" s="66"/>
      <c r="I3" s="66"/>
      <c r="J3" s="66"/>
      <c r="K3" s="66"/>
      <c r="L3" s="67"/>
    </row>
    <row r="4" spans="1:12" ht="15.75" thickBot="1">
      <c r="A4" s="48" t="s">
        <v>71</v>
      </c>
      <c r="B4" s="63"/>
      <c r="C4" s="49">
        <v>1</v>
      </c>
      <c r="D4" s="49">
        <v>2</v>
      </c>
      <c r="E4" s="49">
        <v>3</v>
      </c>
      <c r="F4" s="49">
        <v>4</v>
      </c>
      <c r="G4" s="49">
        <v>5</v>
      </c>
      <c r="H4" s="49">
        <v>6</v>
      </c>
      <c r="I4" s="49">
        <v>7</v>
      </c>
      <c r="J4" s="49">
        <v>8</v>
      </c>
      <c r="K4" s="49">
        <v>9</v>
      </c>
      <c r="L4" s="49">
        <v>10</v>
      </c>
    </row>
    <row r="5" spans="1:26" ht="58.5" customHeight="1" thickBot="1">
      <c r="A5" s="50"/>
      <c r="B5" s="64"/>
      <c r="C5" s="44" t="s">
        <v>73</v>
      </c>
      <c r="D5" s="44" t="s">
        <v>73</v>
      </c>
      <c r="E5" s="44" t="s">
        <v>73</v>
      </c>
      <c r="F5" s="44" t="s">
        <v>73</v>
      </c>
      <c r="G5" s="44" t="s">
        <v>73</v>
      </c>
      <c r="H5" s="44" t="s">
        <v>73</v>
      </c>
      <c r="I5" s="44" t="s">
        <v>73</v>
      </c>
      <c r="J5" s="44" t="s">
        <v>73</v>
      </c>
      <c r="K5" s="44" t="s">
        <v>73</v>
      </c>
      <c r="L5" s="44" t="s">
        <v>73</v>
      </c>
      <c r="P5" s="34" t="s">
        <v>6</v>
      </c>
      <c r="Q5" s="34" t="s">
        <v>64</v>
      </c>
      <c r="R5" s="34" t="s">
        <v>65</v>
      </c>
      <c r="S5" s="34" t="s">
        <v>66</v>
      </c>
      <c r="T5" s="34" t="s">
        <v>67</v>
      </c>
      <c r="V5" s="31" t="s">
        <v>42</v>
      </c>
      <c r="Z5" s="32" t="s">
        <v>92</v>
      </c>
    </row>
    <row r="6" spans="1:20" ht="13.5" thickBot="1">
      <c r="A6" s="24">
        <v>1</v>
      </c>
      <c r="B6" s="25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P6" s="35">
        <v>1</v>
      </c>
      <c r="Q6" s="35">
        <v>2</v>
      </c>
      <c r="R6" s="35">
        <v>3</v>
      </c>
      <c r="S6" s="35">
        <v>4</v>
      </c>
      <c r="T6" s="35">
        <v>5</v>
      </c>
    </row>
    <row r="7" spans="1:27" ht="30.75" thickBot="1">
      <c r="A7" s="30">
        <v>1</v>
      </c>
      <c r="B7" s="23" t="s">
        <v>68</v>
      </c>
      <c r="C7" s="27"/>
      <c r="D7" s="28"/>
      <c r="E7" s="28"/>
      <c r="F7" s="28"/>
      <c r="G7" s="28"/>
      <c r="H7" s="28"/>
      <c r="I7" s="28"/>
      <c r="J7" s="28"/>
      <c r="K7" s="28"/>
      <c r="L7" s="28"/>
      <c r="N7">
        <v>1</v>
      </c>
      <c r="P7" s="39">
        <f>A7</f>
        <v>1</v>
      </c>
      <c r="Q7" s="29" t="str">
        <f>B7</f>
        <v>Разработка и сдача технического проекта</v>
      </c>
      <c r="R7" s="36">
        <f>A7</f>
        <v>1</v>
      </c>
      <c r="S7" s="36" t="str">
        <f>CONCATENATE(TEXT(0,N7)," месяц")</f>
        <v>1 месяц</v>
      </c>
      <c r="T7" s="37">
        <f>'Сводная таблица стоимости работ'!F14+'Сводная таблица стоимости работ'!F22+'Сводная таблица стоимости работ'!E24</f>
        <v>848858</v>
      </c>
      <c r="V7" t="s">
        <v>85</v>
      </c>
      <c r="Z7">
        <v>1</v>
      </c>
      <c r="AA7" s="1">
        <f>T7</f>
        <v>848858</v>
      </c>
    </row>
    <row r="8" spans="1:27" ht="45.75" thickBot="1">
      <c r="A8" s="30">
        <v>2</v>
      </c>
      <c r="B8" s="23" t="s">
        <v>69</v>
      </c>
      <c r="C8" s="28"/>
      <c r="D8" s="27"/>
      <c r="E8" s="28"/>
      <c r="F8" s="28"/>
      <c r="G8" s="28"/>
      <c r="H8" s="28"/>
      <c r="I8" s="28"/>
      <c r="J8" s="28"/>
      <c r="K8" s="28"/>
      <c r="L8" s="28"/>
      <c r="N8">
        <v>2</v>
      </c>
      <c r="P8" s="39">
        <f aca="true" t="shared" si="0" ref="P8:P18">A8</f>
        <v>2</v>
      </c>
      <c r="Q8" s="29" t="str">
        <f aca="true" t="shared" si="1" ref="Q8:Q18">B8</f>
        <v>Закупка базового программного обеспечения для разработки математической модели</v>
      </c>
      <c r="R8" s="36">
        <f aca="true" t="shared" si="2" ref="R8:R18">A8</f>
        <v>2</v>
      </c>
      <c r="S8" s="36" t="str">
        <f aca="true" t="shared" si="3" ref="S8:S18">CONCATENATE(TEXT(0,N8)," месяц")</f>
        <v>2 месяц</v>
      </c>
      <c r="T8" s="37">
        <f>'Сводная таблица стоимости работ'!F5</f>
        <v>9000000</v>
      </c>
      <c r="V8">
        <v>1</v>
      </c>
      <c r="Z8">
        <v>2</v>
      </c>
      <c r="AA8" s="1">
        <f>T8</f>
        <v>9000000</v>
      </c>
    </row>
    <row r="9" spans="1:27" ht="45.75" thickBot="1">
      <c r="A9" s="30" t="s">
        <v>84</v>
      </c>
      <c r="B9" s="23" t="s">
        <v>74</v>
      </c>
      <c r="C9" s="28"/>
      <c r="D9" s="27"/>
      <c r="E9" s="27"/>
      <c r="F9" s="27"/>
      <c r="G9" s="27"/>
      <c r="H9" s="28"/>
      <c r="I9" s="28"/>
      <c r="J9" s="28"/>
      <c r="K9" s="28"/>
      <c r="L9" s="28"/>
      <c r="N9">
        <v>5</v>
      </c>
      <c r="P9" s="39" t="str">
        <f t="shared" si="0"/>
        <v>3 </v>
      </c>
      <c r="Q9" s="29" t="str">
        <f t="shared" si="1"/>
        <v>Математическое моделирование/ Разработка пилотного варианта тренажера</v>
      </c>
      <c r="R9" s="36" t="str">
        <f t="shared" si="2"/>
        <v>3 </v>
      </c>
      <c r="S9" s="36" t="str">
        <f t="shared" si="3"/>
        <v>5 месяц</v>
      </c>
      <c r="T9" s="37">
        <f>'Сводная таблица стоимости работ'!F6+'Сводная таблица стоимости работ'!F7</f>
        <v>1500000</v>
      </c>
      <c r="V9" t="s">
        <v>86</v>
      </c>
      <c r="Z9">
        <v>3</v>
      </c>
      <c r="AA9" s="1">
        <v>0</v>
      </c>
    </row>
    <row r="10" spans="1:27" ht="30.75" thickBot="1">
      <c r="A10" s="30">
        <v>4</v>
      </c>
      <c r="B10" s="23" t="s">
        <v>75</v>
      </c>
      <c r="C10" s="28"/>
      <c r="D10" s="27"/>
      <c r="E10" s="27"/>
      <c r="F10" s="27"/>
      <c r="G10" s="27"/>
      <c r="H10" s="27"/>
      <c r="I10" s="27"/>
      <c r="J10" s="27"/>
      <c r="K10" s="27"/>
      <c r="L10" s="27"/>
      <c r="N10">
        <v>10</v>
      </c>
      <c r="P10" s="39">
        <f t="shared" si="0"/>
        <v>4</v>
      </c>
      <c r="Q10" s="29" t="str">
        <f t="shared" si="1"/>
        <v>Разработка вспомогательного программного обеспечения</v>
      </c>
      <c r="R10" s="36">
        <f t="shared" si="2"/>
        <v>4</v>
      </c>
      <c r="S10" s="36" t="str">
        <f t="shared" si="3"/>
        <v>10 месяц</v>
      </c>
      <c r="T10" s="37">
        <f>'Сводная таблица стоимости работ'!F16</f>
        <v>818360</v>
      </c>
      <c r="V10">
        <v>12</v>
      </c>
      <c r="Z10">
        <v>4</v>
      </c>
      <c r="AA10">
        <v>0</v>
      </c>
    </row>
    <row r="11" spans="1:27" ht="60.75" thickBot="1">
      <c r="A11" s="30">
        <v>5</v>
      </c>
      <c r="B11" s="23" t="s">
        <v>76</v>
      </c>
      <c r="C11" s="28"/>
      <c r="D11" s="28"/>
      <c r="E11" s="28"/>
      <c r="F11" s="28"/>
      <c r="G11" s="27"/>
      <c r="H11" s="28"/>
      <c r="I11" s="28"/>
      <c r="J11" s="28"/>
      <c r="K11" s="28"/>
      <c r="L11" s="28"/>
      <c r="N11">
        <v>5</v>
      </c>
      <c r="P11" s="39">
        <f t="shared" si="0"/>
        <v>5</v>
      </c>
      <c r="Q11" s="29" t="str">
        <f t="shared" si="1"/>
        <v>Приемочные испытания (автономные) в опытную эксплуатацию пилотного варианта тренажера</v>
      </c>
      <c r="R11" s="36">
        <f t="shared" si="2"/>
        <v>5</v>
      </c>
      <c r="S11" s="36" t="str">
        <f t="shared" si="3"/>
        <v>5 месяц</v>
      </c>
      <c r="T11" s="38">
        <v>0</v>
      </c>
      <c r="V11" t="s">
        <v>40</v>
      </c>
      <c r="Z11">
        <v>5</v>
      </c>
      <c r="AA11" s="1">
        <f>T9+T11</f>
        <v>1500000</v>
      </c>
    </row>
    <row r="12" spans="1:27" ht="17.25" thickBot="1">
      <c r="A12" s="30">
        <v>6</v>
      </c>
      <c r="B12" s="23" t="s">
        <v>77</v>
      </c>
      <c r="C12" s="28"/>
      <c r="D12" s="28"/>
      <c r="E12" s="28"/>
      <c r="F12" s="28"/>
      <c r="G12" s="28"/>
      <c r="H12" s="27"/>
      <c r="I12" s="28"/>
      <c r="J12" s="28"/>
      <c r="K12" s="28"/>
      <c r="L12" s="28"/>
      <c r="N12">
        <v>6</v>
      </c>
      <c r="P12" s="39">
        <f t="shared" si="0"/>
        <v>6</v>
      </c>
      <c r="Q12" s="29" t="str">
        <f t="shared" si="1"/>
        <v>Подготовка персонала Заказчика</v>
      </c>
      <c r="R12" s="36">
        <f t="shared" si="2"/>
        <v>6</v>
      </c>
      <c r="S12" s="36" t="str">
        <f t="shared" si="3"/>
        <v>6 месяц</v>
      </c>
      <c r="T12" s="37">
        <f>'Сводная таблица стоимости работ'!F17</f>
        <v>208097</v>
      </c>
      <c r="V12">
        <v>13</v>
      </c>
      <c r="Z12">
        <v>6</v>
      </c>
      <c r="AA12" s="1">
        <f>T12</f>
        <v>208097</v>
      </c>
    </row>
    <row r="13" spans="1:27" ht="45.75" thickBot="1">
      <c r="A13" s="30">
        <v>7</v>
      </c>
      <c r="B13" s="23" t="s">
        <v>78</v>
      </c>
      <c r="C13" s="28"/>
      <c r="D13" s="28"/>
      <c r="E13" s="28"/>
      <c r="F13" s="28"/>
      <c r="G13" s="28"/>
      <c r="H13" s="27"/>
      <c r="I13" s="27"/>
      <c r="J13" s="27"/>
      <c r="K13" s="27"/>
      <c r="L13" s="27"/>
      <c r="N13">
        <v>10</v>
      </c>
      <c r="P13" s="39">
        <f t="shared" si="0"/>
        <v>7</v>
      </c>
      <c r="Q13" s="29" t="str">
        <f t="shared" si="1"/>
        <v>Математическое моделирование/Разработка окончательной версии тренажера</v>
      </c>
      <c r="R13" s="36">
        <f t="shared" si="2"/>
        <v>7</v>
      </c>
      <c r="S13" s="36" t="str">
        <f t="shared" si="3"/>
        <v>10 месяц</v>
      </c>
      <c r="T13" s="37">
        <f>'Сводная таблица стоимости работ'!F8+'Сводная таблица стоимости работ'!F9+'Сводная таблица стоимости работ'!F10+'Сводная таблица стоимости работ'!F15</f>
        <v>3523325</v>
      </c>
      <c r="V13" t="s">
        <v>87</v>
      </c>
      <c r="Z13">
        <v>7</v>
      </c>
      <c r="AA13" s="1">
        <f>T15</f>
        <v>375000</v>
      </c>
    </row>
    <row r="14" spans="1:27" ht="30.75" thickBot="1">
      <c r="A14" s="30">
        <v>8</v>
      </c>
      <c r="B14" s="23" t="s">
        <v>79</v>
      </c>
      <c r="C14" s="28"/>
      <c r="D14" s="28"/>
      <c r="E14" s="28"/>
      <c r="F14" s="28"/>
      <c r="G14" s="28"/>
      <c r="H14" s="27"/>
      <c r="I14" s="27"/>
      <c r="J14" s="27"/>
      <c r="K14" s="27"/>
      <c r="L14" s="27"/>
      <c r="N14">
        <v>10</v>
      </c>
      <c r="P14" s="39">
        <f t="shared" si="0"/>
        <v>8</v>
      </c>
      <c r="Q14" s="29" t="str">
        <f t="shared" si="1"/>
        <v>Разработка сопроводительной и иной документации</v>
      </c>
      <c r="R14" s="36">
        <f t="shared" si="2"/>
        <v>8</v>
      </c>
      <c r="S14" s="36" t="str">
        <f t="shared" si="3"/>
        <v>10 месяц</v>
      </c>
      <c r="T14" s="37">
        <f>'Сводная таблица стоимости работ'!F18+'Сводная таблица стоимости работ'!F19+'Сводная таблица стоимости работ'!F20</f>
        <v>1504175</v>
      </c>
      <c r="V14" t="s">
        <v>88</v>
      </c>
      <c r="Z14">
        <v>8</v>
      </c>
      <c r="AA14">
        <v>0</v>
      </c>
    </row>
    <row r="15" spans="1:27" ht="17.25" thickBot="1">
      <c r="A15" s="30">
        <v>9</v>
      </c>
      <c r="B15" s="23" t="s">
        <v>80</v>
      </c>
      <c r="C15" s="28"/>
      <c r="D15" s="28"/>
      <c r="E15" s="28"/>
      <c r="F15" s="28"/>
      <c r="G15" s="28"/>
      <c r="H15" s="27"/>
      <c r="I15" s="27"/>
      <c r="J15" s="28"/>
      <c r="K15" s="28"/>
      <c r="L15" s="28"/>
      <c r="N15">
        <v>7</v>
      </c>
      <c r="P15" s="39">
        <f t="shared" si="0"/>
        <v>9</v>
      </c>
      <c r="Q15" s="29" t="str">
        <f t="shared" si="1"/>
        <v>Подготовка помещения</v>
      </c>
      <c r="R15" s="36">
        <f t="shared" si="2"/>
        <v>9</v>
      </c>
      <c r="S15" s="36" t="str">
        <f t="shared" si="3"/>
        <v>7 месяц</v>
      </c>
      <c r="T15" s="37">
        <f>'Сводная таблица стоимости работ'!F26</f>
        <v>375000</v>
      </c>
      <c r="V15">
        <v>22</v>
      </c>
      <c r="Z15">
        <v>9</v>
      </c>
      <c r="AA15" s="1">
        <f>T16</f>
        <v>842497.1</v>
      </c>
    </row>
    <row r="16" spans="1:27" ht="45.75" thickBot="1">
      <c r="A16" s="30">
        <v>10</v>
      </c>
      <c r="B16" s="23" t="s">
        <v>81</v>
      </c>
      <c r="C16" s="28"/>
      <c r="D16" s="28"/>
      <c r="E16" s="28"/>
      <c r="F16" s="28"/>
      <c r="G16" s="28"/>
      <c r="H16" s="28"/>
      <c r="I16" s="28"/>
      <c r="J16" s="27"/>
      <c r="K16" s="27"/>
      <c r="L16" s="28"/>
      <c r="N16">
        <v>9</v>
      </c>
      <c r="P16" s="39">
        <f t="shared" si="0"/>
        <v>10</v>
      </c>
      <c r="Q16" s="29" t="str">
        <f t="shared" si="1"/>
        <v>Закупка, поставка, монтаж и наладка технических средств тренажерного комплекса</v>
      </c>
      <c r="R16" s="36">
        <f t="shared" si="2"/>
        <v>10</v>
      </c>
      <c r="S16" s="36" t="str">
        <f t="shared" si="3"/>
        <v>9 месяц</v>
      </c>
      <c r="T16" s="37">
        <f>'Сводная таблица стоимости работ'!F11+'Сводная таблица стоимости работ'!F12+'Сводная таблица стоимости работ'!F13+'Сводная таблица стоимости работ'!F25</f>
        <v>842497.1</v>
      </c>
      <c r="V16" t="s">
        <v>89</v>
      </c>
      <c r="Z16">
        <v>10</v>
      </c>
      <c r="AA16" s="1">
        <f>T10+T13+T14+T17+T18</f>
        <v>6313260</v>
      </c>
    </row>
    <row r="17" spans="1:22" ht="17.25" thickBot="1">
      <c r="A17" s="30">
        <v>11</v>
      </c>
      <c r="B17" s="23" t="s">
        <v>82</v>
      </c>
      <c r="C17" s="28"/>
      <c r="D17" s="28"/>
      <c r="E17" s="28"/>
      <c r="F17" s="28"/>
      <c r="G17" s="28"/>
      <c r="H17" s="28"/>
      <c r="I17" s="28"/>
      <c r="J17" s="28"/>
      <c r="K17" s="28"/>
      <c r="L17" s="27"/>
      <c r="N17">
        <v>10</v>
      </c>
      <c r="P17" s="39">
        <f t="shared" si="0"/>
        <v>11</v>
      </c>
      <c r="Q17" s="29" t="str">
        <f t="shared" si="1"/>
        <v>Опытная эксплуатация</v>
      </c>
      <c r="R17" s="36">
        <f t="shared" si="2"/>
        <v>11</v>
      </c>
      <c r="S17" s="36" t="str">
        <f t="shared" si="3"/>
        <v>10 месяц</v>
      </c>
      <c r="T17" s="38">
        <v>0</v>
      </c>
      <c r="V17" t="s">
        <v>40</v>
      </c>
    </row>
    <row r="18" spans="1:22" ht="60.75" thickBot="1">
      <c r="A18" s="30">
        <v>12</v>
      </c>
      <c r="B18" s="23" t="s">
        <v>83</v>
      </c>
      <c r="C18" s="28"/>
      <c r="D18" s="28"/>
      <c r="E18" s="28"/>
      <c r="F18" s="28"/>
      <c r="G18" s="28"/>
      <c r="H18" s="28"/>
      <c r="I18" s="28"/>
      <c r="J18" s="28"/>
      <c r="K18" s="28"/>
      <c r="L18" s="27"/>
      <c r="N18">
        <v>10</v>
      </c>
      <c r="P18" s="39">
        <f t="shared" si="0"/>
        <v>12</v>
      </c>
      <c r="Q18" s="29" t="str">
        <f t="shared" si="1"/>
        <v>Приемочные испытания (комплексные) в промышленную эксплуатацию окончательной версии тренажерного комплекса</v>
      </c>
      <c r="R18" s="36">
        <f t="shared" si="2"/>
        <v>12</v>
      </c>
      <c r="S18" s="36" t="str">
        <f t="shared" si="3"/>
        <v>10 месяц</v>
      </c>
      <c r="T18" s="37">
        <f>'Сводная таблица стоимости работ'!F21+'Сводная таблица стоимости работ'!F23+'Сводная таблица стоимости работ'!E24</f>
        <v>467400</v>
      </c>
      <c r="V18" t="s">
        <v>90</v>
      </c>
    </row>
    <row r="22" spans="20:27" ht="12.75">
      <c r="T22" s="1">
        <f>SUM(T7:T18)</f>
        <v>19087712.1</v>
      </c>
      <c r="AA22" s="1">
        <f>SUM(AA7:AA16)</f>
        <v>19087712.1</v>
      </c>
    </row>
    <row r="24" spans="2:20" ht="12.75">
      <c r="B24" t="s">
        <v>130</v>
      </c>
      <c r="T24" s="1">
        <f>'Сводная таблица стоимости работ'!F28-'Календарный план и график оплат'!T22</f>
        <v>0</v>
      </c>
    </row>
  </sheetData>
  <sheetProtection/>
  <mergeCells count="4">
    <mergeCell ref="B3:B5"/>
    <mergeCell ref="C3:L3"/>
    <mergeCell ref="A1:L1"/>
    <mergeCell ref="P1:T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9">
      <selection activeCell="C25" sqref="C25"/>
    </sheetView>
  </sheetViews>
  <sheetFormatPr defaultColWidth="9.00390625" defaultRowHeight="12.75"/>
  <cols>
    <col min="2" max="2" width="23.125" style="0" customWidth="1"/>
    <col min="3" max="3" width="35.375" style="0" customWidth="1"/>
    <col min="4" max="4" width="15.875" style="0" customWidth="1"/>
    <col min="5" max="5" width="16.125" style="0" customWidth="1"/>
    <col min="6" max="6" width="18.375" style="0" customWidth="1"/>
  </cols>
  <sheetData>
    <row r="1" spans="1:6" ht="15.75">
      <c r="A1" s="68" t="s">
        <v>117</v>
      </c>
      <c r="B1" s="68"/>
      <c r="C1" s="68"/>
      <c r="D1" s="68"/>
      <c r="E1" s="68"/>
      <c r="F1" s="68"/>
    </row>
    <row r="2" ht="16.5" thickBot="1">
      <c r="A2" s="40"/>
    </row>
    <row r="3" spans="1:6" s="43" customFormat="1" ht="15" customHeight="1" thickBot="1">
      <c r="A3" s="62" t="s">
        <v>6</v>
      </c>
      <c r="B3" s="62" t="s">
        <v>118</v>
      </c>
      <c r="C3" s="62" t="s">
        <v>119</v>
      </c>
      <c r="D3" s="65" t="s">
        <v>120</v>
      </c>
      <c r="E3" s="67"/>
      <c r="F3" s="62" t="s">
        <v>98</v>
      </c>
    </row>
    <row r="4" spans="1:6" s="43" customFormat="1" ht="51" customHeight="1" thickBot="1">
      <c r="A4" s="64"/>
      <c r="B4" s="64"/>
      <c r="C4" s="64"/>
      <c r="D4" s="44" t="s">
        <v>99</v>
      </c>
      <c r="E4" s="44" t="s">
        <v>100</v>
      </c>
      <c r="F4" s="64"/>
    </row>
    <row r="5" spans="1:6" s="43" customFormat="1" ht="13.5" thickBot="1">
      <c r="A5" s="45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</row>
    <row r="6" spans="1:6" ht="79.5" thickBot="1">
      <c r="A6" s="41">
        <f>'Сводная таблица стоимости работ'!A5</f>
        <v>1</v>
      </c>
      <c r="B6" s="41" t="str">
        <f>'Сводная таблица стоимости работ'!B5</f>
        <v>Покупка лицензии на базовое программное обеспечение ARUBA (не более 3000 переменных)</v>
      </c>
      <c r="C6" s="42" t="str">
        <f>IF('Сводная таблица стоимости работ'!H5="0",CONCATENATE("Федеральное государственное бюджетное образовательное учреждение высшего образования ",CHAR(34),"Ивановский государственный энергетический университет имени В.И. Ленина",CHAR(34)),CONCATENATE("ООО ",CHAR(34),"Тренажеры для электростанций",CHAR(34)))</f>
        <v>ООО "Тренажеры для электростанций"</v>
      </c>
      <c r="D6" s="53">
        <f>'Сводная таблица стоимости работ'!F5</f>
        <v>9000000</v>
      </c>
      <c r="E6" s="54">
        <f>'План распределения'!D6/'Сводная таблица стоимости работ'!$F$28*100</f>
        <v>47.150753075325355</v>
      </c>
      <c r="F6" s="51" t="s">
        <v>102</v>
      </c>
    </row>
    <row r="7" spans="1:6" ht="79.5" thickBot="1">
      <c r="A7" s="41">
        <f>'Сводная таблица стоимости работ'!A6</f>
        <v>2</v>
      </c>
      <c r="B7" s="41" t="str">
        <f>'Сводная таблица стоимости работ'!B6</f>
        <v>Разработка подсистемы математической модели турбогенератора</v>
      </c>
      <c r="C7" s="42" t="str">
        <f>IF('Сводная таблица стоимости работ'!H6="0","Федеральное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Ленина","ООО Тренажеры для электростанций")</f>
        <v>ООО Тренажеры для электростанций</v>
      </c>
      <c r="D7" s="53">
        <f>'Сводная таблица стоимости работ'!F6</f>
        <v>750000</v>
      </c>
      <c r="E7" s="54">
        <f>'План распределения'!D7/'Сводная таблица стоимости работ'!$F$28*100</f>
        <v>3.9292294229437794</v>
      </c>
      <c r="F7" s="52" t="s">
        <v>103</v>
      </c>
    </row>
    <row r="8" spans="1:6" ht="79.5" thickBot="1">
      <c r="A8" s="41">
        <f>'Сводная таблица стоимости работ'!A7</f>
        <v>3</v>
      </c>
      <c r="B8" s="41" t="str">
        <f>'Сводная таблица стоимости работ'!B7</f>
        <v>Разработка подсистемы математической модели водогрейного котла-утилизатора</v>
      </c>
      <c r="C8" s="42" t="str">
        <f>IF('Сводная таблица стоимости работ'!H7=0,"Федеральное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Ленина","ООО Тренажеры для электростанций")</f>
        <v>ООО Тренажеры для электростанций</v>
      </c>
      <c r="D8" s="53">
        <f>'Сводная таблица стоимости работ'!F7</f>
        <v>750000</v>
      </c>
      <c r="E8" s="54">
        <f>'План распределения'!D8/'Сводная таблица стоимости работ'!$F$28*100</f>
        <v>3.9292294229437794</v>
      </c>
      <c r="F8" s="52" t="s">
        <v>103</v>
      </c>
    </row>
    <row r="9" spans="1:6" ht="95.25" thickBot="1">
      <c r="A9" s="41">
        <f>'Сводная таблица стоимости работ'!A8</f>
        <v>4</v>
      </c>
      <c r="B9" s="41" t="str">
        <f>'Сводная таблица стоимости работ'!B8</f>
        <v>Разработка подсистемы математической модели дожимной компрессорной станции</v>
      </c>
      <c r="C9" s="42" t="str">
        <f>IF('Сводная таблица стоимости работ'!H8=0,"Федеральное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Ленина","ООО Тренажеры для электростанций")</f>
        <v>ООО Тренажеры для электростанций</v>
      </c>
      <c r="D9" s="53">
        <f>'Сводная таблица стоимости работ'!F8</f>
        <v>750000</v>
      </c>
      <c r="E9" s="54">
        <f>'План распределения'!D9/'Сводная таблица стоимости работ'!$F$28*100</f>
        <v>3.9292294229437794</v>
      </c>
      <c r="F9" s="52" t="s">
        <v>104</v>
      </c>
    </row>
    <row r="10" spans="1:6" ht="111" thickBot="1">
      <c r="A10" s="41">
        <f>'Сводная таблица стоимости работ'!A9</f>
        <v>5</v>
      </c>
      <c r="B10" s="41" t="str">
        <f>'Сводная таблица стоимости работ'!B9</f>
        <v>Разработка подсистемы математической модели вспомогательного оборудования и электрической части</v>
      </c>
      <c r="C10" s="42" t="str">
        <f>IF('Сводная таблица стоимости работ'!H9=0,"Федеральное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Ленина","ООО Тренажеры для электростанций")</f>
        <v>ООО Тренажеры для электростанций</v>
      </c>
      <c r="D10" s="53">
        <f>'Сводная таблица стоимости работ'!F9</f>
        <v>750000</v>
      </c>
      <c r="E10" s="54">
        <f>'План распределения'!D10/'Сводная таблица стоимости работ'!$F$28*100</f>
        <v>3.9292294229437794</v>
      </c>
      <c r="F10" s="52" t="s">
        <v>104</v>
      </c>
    </row>
    <row r="11" spans="1:6" ht="95.25" thickBot="1">
      <c r="A11" s="41">
        <f>'Сводная таблица стоимости работ'!A10</f>
        <v>6</v>
      </c>
      <c r="B11" s="41" t="str">
        <f>'Сводная таблица стоимости работ'!B10</f>
        <v>Разработка подсистемы математической модели АСУ</v>
      </c>
      <c r="C11" s="42" t="str">
        <f>IF('Сводная таблица стоимости работ'!H10=0,"Федеральное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Ленина","ООО Тренажеры для электростанций")</f>
        <v>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</v>
      </c>
      <c r="D11" s="53">
        <f>'Сводная таблица стоимости работ'!F10</f>
        <v>1511418</v>
      </c>
      <c r="E11" s="54">
        <f>'План распределения'!D11/'Сводная таблица стоимости работ'!$F$28*100</f>
        <v>7.918277434622454</v>
      </c>
      <c r="F11" s="52" t="s">
        <v>104</v>
      </c>
    </row>
    <row r="12" spans="1:6" ht="48" thickBot="1">
      <c r="A12" s="41">
        <f>'Сводная таблица стоимости работ'!A11</f>
        <v>7</v>
      </c>
      <c r="B12" s="41" t="str">
        <f>'Сводная таблица стоимости работ'!B11</f>
        <v>Покупка ПК рабочих мест обучаемых с установкой ПО</v>
      </c>
      <c r="C12" s="42" t="str">
        <f>IF('Сводная таблица стоимости работ'!H11=0,"Федеральное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Ленина","ООО Тренажеры для электростанций")</f>
        <v>ООО Тренажеры для электростанций</v>
      </c>
      <c r="D12" s="53">
        <f>'Сводная таблица стоимости работ'!F11</f>
        <v>309624</v>
      </c>
      <c r="E12" s="54">
        <f>'План распределения'!D12/'Сводная таблица стоимости работ'!$F$28*100</f>
        <v>1.6221116411327265</v>
      </c>
      <c r="F12" s="52" t="s">
        <v>105</v>
      </c>
    </row>
    <row r="13" spans="1:6" ht="48" thickBot="1">
      <c r="A13" s="41">
        <f>'Сводная таблица стоимости работ'!A12</f>
        <v>8</v>
      </c>
      <c r="B13" s="41" t="str">
        <f>'Сводная таблица стоимости работ'!B12</f>
        <v>Покупка ПК рабочего места инструктора с установкой ПО</v>
      </c>
      <c r="C13" s="42" t="str">
        <f>IF('Сводная таблица стоимости работ'!H12=0,"Федеральное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Ленина","ООО Тренажеры для электростанций")</f>
        <v>ООО Тренажеры для электростанций</v>
      </c>
      <c r="D13" s="53">
        <f>'Сводная таблица стоимости работ'!F12</f>
        <v>86493</v>
      </c>
      <c r="E13" s="54">
        <f>'План распределения'!D13/'Сводная таблица стоимости работ'!$F$28*100</f>
        <v>0.45313445397156843</v>
      </c>
      <c r="F13" s="52" t="s">
        <v>105</v>
      </c>
    </row>
    <row r="14" spans="1:6" ht="32.25" thickBot="1">
      <c r="A14" s="41">
        <f>'Сводная таблица стоимости работ'!A13</f>
        <v>9</v>
      </c>
      <c r="B14" s="41" t="str">
        <f>'Сводная таблица стоимости работ'!B13</f>
        <v>Покупка сервера с установкой ПО</v>
      </c>
      <c r="C14" s="42" t="str">
        <f>IF('Сводная таблица стоимости работ'!H13=0,"Федеральное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Ленина","ООО Тренажеры для электростанций")</f>
        <v>ООО Тренажеры для электростанций</v>
      </c>
      <c r="D14" s="53">
        <f>'Сводная таблица стоимости работ'!F13</f>
        <v>198299.1</v>
      </c>
      <c r="E14" s="54">
        <f>'План распределения'!D14/'Сводная таблица стоимости работ'!$F$28*100</f>
        <v>1.0388835443510278</v>
      </c>
      <c r="F14" s="52" t="s">
        <v>105</v>
      </c>
    </row>
    <row r="15" spans="1:6" ht="95.25" thickBot="1">
      <c r="A15" s="41">
        <f>'Сводная таблица стоимости работ'!A14</f>
        <v>10</v>
      </c>
      <c r="B15" s="41" t="str">
        <f>'Сводная таблица стоимости работ'!B14</f>
        <v>Разработка технического проекта</v>
      </c>
      <c r="C15" s="42" t="str">
        <f>IF('Сводная таблица стоимости работ'!H14=0,"Федеральное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Ленина","ООО Тренажеры для электростанций")</f>
        <v>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</v>
      </c>
      <c r="D15" s="53">
        <f>'Сводная таблица стоимости работ'!F14</f>
        <v>788358</v>
      </c>
      <c r="E15" s="54">
        <f>'План распределения'!D15/'Сводная таблица стоимости работ'!$F$28*100</f>
        <v>4.130185932550816</v>
      </c>
      <c r="F15" s="52" t="s">
        <v>106</v>
      </c>
    </row>
    <row r="16" spans="1:6" ht="95.25" thickBot="1">
      <c r="A16" s="41">
        <f>'Сводная таблица стоимости работ'!A15</f>
        <v>11</v>
      </c>
      <c r="B16" s="41" t="str">
        <f>'Сводная таблица стоимости работ'!B15</f>
        <v>Разработка сценариев тренировок и подсистемы автоматической оценки</v>
      </c>
      <c r="C16" s="42" t="str">
        <f>IF('Сводная таблица стоимости работ'!H15=0,"Федеральное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Ленина","ООО Тренажеры для электростанций")</f>
        <v>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</v>
      </c>
      <c r="D16" s="53">
        <f>'Сводная таблица стоимости работ'!F15</f>
        <v>511907</v>
      </c>
      <c r="E16" s="54">
        <f>'План распределения'!D16/'Сводная таблица стоимости работ'!$F$28*100</f>
        <v>2.6818667282811752</v>
      </c>
      <c r="F16" s="52" t="s">
        <v>104</v>
      </c>
    </row>
    <row r="17" spans="1:6" ht="95.25" thickBot="1">
      <c r="A17" s="41">
        <f>'Сводная таблица стоимости работ'!A16</f>
        <v>12</v>
      </c>
      <c r="B17" s="41" t="str">
        <f>'Сводная таблица стоимости работ'!B16</f>
        <v>Разработка средств автоматизации планирования и учета занятий на тренажере</v>
      </c>
      <c r="C17" s="42" t="str">
        <f>IF('Сводная таблица стоимости работ'!H16=0,"Федеральное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Ленина","ООО Тренажеры для электростанций")</f>
        <v>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</v>
      </c>
      <c r="D17" s="53">
        <f>'Сводная таблица стоимости работ'!F16</f>
        <v>818360</v>
      </c>
      <c r="E17" s="54">
        <f>'План распределения'!D17/'Сводная таблица стоимости работ'!$F$28*100</f>
        <v>4.287365587413695</v>
      </c>
      <c r="F17" s="52" t="s">
        <v>107</v>
      </c>
    </row>
    <row r="18" spans="1:6" ht="95.25" thickBot="1">
      <c r="A18" s="41">
        <f>'Сводная таблица стоимости работ'!A17</f>
        <v>13</v>
      </c>
      <c r="B18" s="41" t="str">
        <f>'Сводная таблица стоимости работ'!B17</f>
        <v>Подготовка персонала заказчика (до 8 человек)</v>
      </c>
      <c r="C18" s="42" t="str">
        <f>IF('Сводная таблица стоимости работ'!H17=0,"Федеральное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Ленина","ООО Тренажеры для электростанций")</f>
        <v>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</v>
      </c>
      <c r="D18" s="53">
        <f>'Сводная таблица стоимости работ'!F17</f>
        <v>208097</v>
      </c>
      <c r="E18" s="54">
        <f>'План распределения'!D18/'Сводная таблица стоимости работ'!$F$28*100</f>
        <v>1.090214473635109</v>
      </c>
      <c r="F18" s="52" t="s">
        <v>108</v>
      </c>
    </row>
    <row r="19" spans="1:6" ht="205.5" thickBot="1">
      <c r="A19" s="41">
        <f>'Сводная таблица стоимости работ'!A18</f>
        <v>14</v>
      </c>
      <c r="B19" s="41" t="str">
        <f>'Сводная таблица стоимости работ'!B18</f>
        <v>Разработка документов: Отчета технического проекта, Программы опытной эксплуатации, Протоколов испытаний тренажера, Журнала опытной эксплуатации, Заключения о результатах опытной эксплуатации</v>
      </c>
      <c r="C19" s="42" t="str">
        <f>IF('Сводная таблица стоимости работ'!H18=0,"Федеральное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Ленина","ООО Тренажеры для электростанций")</f>
        <v>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</v>
      </c>
      <c r="D19" s="53">
        <f>'Сводная таблица стоимости работ'!F18</f>
        <v>700980</v>
      </c>
      <c r="E19" s="54">
        <f>'План распределения'!D19/'Сводная таблица стоимости работ'!$F$28*100</f>
        <v>3.672414987860174</v>
      </c>
      <c r="F19" s="52" t="s">
        <v>104</v>
      </c>
    </row>
    <row r="20" spans="1:6" ht="174" thickBot="1">
      <c r="A20" s="41">
        <f>'Сводная таблица стоимости работ'!A19</f>
        <v>15</v>
      </c>
      <c r="B20" s="41" t="str">
        <f>'Сводная таблица стоимости работ'!B19</f>
        <v>Разработка сопроводительной документации: Руководство инструктора, Руководство пользователя (обучаемого), Руководство по эксплуатации тренажера</v>
      </c>
      <c r="C20" s="42" t="str">
        <f>IF('Сводная таблица стоимости работ'!H19=0,"Федеральное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Ленина","ООО Тренажеры для электростанций")</f>
        <v>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</v>
      </c>
      <c r="D20" s="53">
        <f>'Сводная таблица стоимости работ'!F19</f>
        <v>459150</v>
      </c>
      <c r="E20" s="54">
        <f>'План распределения'!D20/'Сводная таблица стоимости работ'!$F$28*100</f>
        <v>2.4054742527261816</v>
      </c>
      <c r="F20" s="52" t="s">
        <v>104</v>
      </c>
    </row>
    <row r="21" spans="1:6" ht="95.25" thickBot="1">
      <c r="A21" s="41">
        <f>'Сводная таблица стоимости работ'!A20</f>
        <v>16</v>
      </c>
      <c r="B21" s="41" t="str">
        <f>'Сводная таблица стоимости работ'!B20</f>
        <v>Проведение патентных исследований в соответствии с ГОСТ Р 15.01.110-96</v>
      </c>
      <c r="C21" s="42" t="str">
        <f>IF('Сводная таблица стоимости работ'!H20=0,"Федеральное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Ленина","ООО Тренажеры для электростанций")</f>
        <v>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</v>
      </c>
      <c r="D21" s="53">
        <f>'Сводная таблица стоимости работ'!F20</f>
        <v>344045</v>
      </c>
      <c r="E21" s="54">
        <f>'План распределения'!D21/'Сводная таблица стоимости работ'!$F$28*100</f>
        <v>1.80244231575559</v>
      </c>
      <c r="F21" s="52" t="s">
        <v>104</v>
      </c>
    </row>
    <row r="22" spans="1:6" ht="48" thickBot="1">
      <c r="A22" s="41">
        <f>'Сводная таблица стоимости работ'!A21</f>
        <v>17</v>
      </c>
      <c r="B22" s="41" t="str">
        <f>'Сводная таблица стоимости работ'!B21</f>
        <v>Исполнение гарантийных обязательств</v>
      </c>
      <c r="C22" s="42" t="str">
        <f>IF('Сводная таблица стоимости работ'!H21=0,"Федеральное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Ленина","ООО Тренажеры для электростанций")</f>
        <v>ООО Тренажеры для электростанций</v>
      </c>
      <c r="D22" s="53">
        <f>'Сводная таблица стоимости работ'!F21</f>
        <v>360000</v>
      </c>
      <c r="E22" s="54">
        <f>'План распределения'!D22/'Сводная таблица стоимости работ'!$F$28*100</f>
        <v>1.886030123013014</v>
      </c>
      <c r="F22" s="52" t="s">
        <v>109</v>
      </c>
    </row>
    <row r="23" spans="1:6" ht="111" thickBot="1">
      <c r="A23" s="41">
        <f>'Сводная таблица стоимости работ'!A22</f>
        <v>18</v>
      </c>
      <c r="B23" s="41" t="str">
        <f>'Сводная таблица стоимости работ'!B22</f>
        <v>Исполнение и контроль Этапа разработки и сдачи технического проекта и сбор исходных данных (суточные, гостиница)</v>
      </c>
      <c r="C23" s="42" t="str">
        <f>IF('Сводная таблица стоимости работ'!H22=0,"Федеральное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Ленина","ООО Тренажеры для электростанций")</f>
        <v>ООО Тренажеры для электростанций</v>
      </c>
      <c r="D23" s="53">
        <f>'Сводная таблица стоимости работ'!F22</f>
        <v>33500</v>
      </c>
      <c r="E23" s="54">
        <f>'План распределения'!D23/'Сводная таблица стоимости работ'!$F$28*100</f>
        <v>0.17550558089148882</v>
      </c>
      <c r="F23" s="52" t="s">
        <v>106</v>
      </c>
    </row>
    <row r="24" spans="1:6" ht="95.25" thickBot="1">
      <c r="A24" s="41">
        <f>'Сводная таблица стоимости работ'!A23</f>
        <v>19</v>
      </c>
      <c r="B24" s="41" t="str">
        <f>'Сводная таблица стоимости работ'!B23</f>
        <v>Исполнение и контроль: Этап приемочных испытаний (суточные, гостиница)</v>
      </c>
      <c r="C24" s="42" t="str">
        <f>IF('Сводная таблица стоимости работ'!H23=0,"Федеральное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Ленина","ООО Тренажеры для электростанций")</f>
        <v>ООО Тренажеры для электростанций</v>
      </c>
      <c r="D24" s="53">
        <f>'Сводная таблица стоимости работ'!F23</f>
        <v>80400</v>
      </c>
      <c r="E24" s="54">
        <f>'План распределения'!D24/'Сводная таблица стоимости работ'!$F$28*100</f>
        <v>0.4212133941395731</v>
      </c>
      <c r="F24" s="52" t="s">
        <v>110</v>
      </c>
    </row>
    <row r="25" spans="1:6" ht="63.75" thickBot="1">
      <c r="A25" s="41">
        <f>'Сводная таблица стоимости работ'!A24</f>
        <v>20</v>
      </c>
      <c r="B25" s="41" t="str">
        <f>'Сводная таблица стоимости работ'!B24</f>
        <v>Покупка авиабилетов Москва-Томск-Москва (2 командировки)</v>
      </c>
      <c r="C25" s="42" t="str">
        <f>IF('Сводная таблица стоимости работ'!H24=0,"Федеральное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Ленина","ООО Тренажеры для электростанций")</f>
        <v>ООО Тренажеры для электростанций</v>
      </c>
      <c r="D25" s="53">
        <f>'Сводная таблица стоимости работ'!F24</f>
        <v>54000</v>
      </c>
      <c r="E25" s="54">
        <f>'План распределения'!D25/'Сводная таблица стоимости работ'!$F$28*100</f>
        <v>0.28290451845195214</v>
      </c>
      <c r="F25" s="52" t="s">
        <v>111</v>
      </c>
    </row>
    <row r="26" spans="1:6" ht="95.25" thickBot="1">
      <c r="A26" s="41">
        <f>'Сводная таблица стоимости работ'!A25</f>
        <v>21</v>
      </c>
      <c r="B26" s="41" t="str">
        <f>'Сводная таблица стоимости работ'!B25</f>
        <v>Сборка и монтаж тренажера</v>
      </c>
      <c r="C26" s="42" t="str">
        <f>IF('Сводная таблица стоимости работ'!H25=0,"Федеральное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Ленина","ООО Тренажеры для электростанций")</f>
        <v>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</v>
      </c>
      <c r="D26" s="53">
        <f>'Сводная таблица стоимости работ'!F25</f>
        <v>248081</v>
      </c>
      <c r="E26" s="54">
        <f>'План распределения'!D26/'Сводная таблица стоимости работ'!$F$28*100</f>
        <v>1.2996895526310877</v>
      </c>
      <c r="F26" s="52" t="s">
        <v>105</v>
      </c>
    </row>
    <row r="27" spans="1:6" ht="95.25" thickBot="1">
      <c r="A27" s="41">
        <f>'Сводная таблица стоимости работ'!A26</f>
        <v>22</v>
      </c>
      <c r="B27" s="41" t="str">
        <f>'Сводная таблица стоимости работ'!B26</f>
        <v>Подготовка/ремонт помещения</v>
      </c>
      <c r="C27" s="42" t="str">
        <f>IF('Сводная таблица стоимости работ'!H26=0,"Федеральное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Ленина","ООО Тренажеры для электростанций")</f>
        <v>Федеральное государственное бюджетное образовательное учреждение высшего образования Ивановский государственный энергетический университет имени В.И. Ленина</v>
      </c>
      <c r="D27" s="53">
        <f>'Сводная таблица стоимости работ'!F26</f>
        <v>375000</v>
      </c>
      <c r="E27" s="54">
        <f>'План распределения'!D27/'Сводная таблица стоимости работ'!$F$28*100</f>
        <v>1.9646147114718897</v>
      </c>
      <c r="F27" s="52" t="s">
        <v>112</v>
      </c>
    </row>
    <row r="29" ht="12.75">
      <c r="E29">
        <f>SUM(E6:E27)</f>
        <v>100</v>
      </c>
    </row>
  </sheetData>
  <sheetProtection/>
  <mergeCells count="6">
    <mergeCell ref="F3:F4"/>
    <mergeCell ref="A1:F1"/>
    <mergeCell ref="A3:A4"/>
    <mergeCell ref="B3:B4"/>
    <mergeCell ref="C3:C4"/>
    <mergeCell ref="D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Invisible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phant0m</dc:creator>
  <cp:keywords/>
  <dc:description/>
  <cp:lastModifiedBy>Smeta</cp:lastModifiedBy>
  <dcterms:created xsi:type="dcterms:W3CDTF">2016-04-08T07:28:41Z</dcterms:created>
  <dcterms:modified xsi:type="dcterms:W3CDTF">2016-04-13T16:08:49Z</dcterms:modified>
  <cp:category/>
  <cp:version/>
  <cp:contentType/>
  <cp:contentStatus/>
</cp:coreProperties>
</file>